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Project" sheetId="1" r:id="rId1"/>
    <sheet name="Characterization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<sst xmlns="http://schemas.openxmlformats.org/spreadsheetml/2006/main" count="145" uniqueCount="99">
  <si>
    <t>tg</t>
  </si>
  <si>
    <t>F</t>
  </si>
  <si>
    <t>tac</t>
  </si>
  <si>
    <t>te</t>
  </si>
  <si>
    <t>kW</t>
  </si>
  <si>
    <t>cg1</t>
  </si>
  <si>
    <t>cg2</t>
  </si>
  <si>
    <t>cg3</t>
  </si>
  <si>
    <t>cg4</t>
  </si>
  <si>
    <t>ce1</t>
  </si>
  <si>
    <t>ce2</t>
  </si>
  <si>
    <t>ce3</t>
  </si>
  <si>
    <t>ce4</t>
  </si>
  <si>
    <t>qgen2</t>
  </si>
  <si>
    <t>dttg</t>
  </si>
  <si>
    <t>dtte</t>
  </si>
  <si>
    <t>qevap2</t>
  </si>
  <si>
    <t>ce0</t>
  </si>
  <si>
    <t>cop</t>
  </si>
  <si>
    <t>rt</t>
  </si>
  <si>
    <t>tgo</t>
  </si>
  <si>
    <t>tcwo</t>
  </si>
  <si>
    <t>Qe_Mbtuh</t>
  </si>
  <si>
    <t>Qg_Mbtuh</t>
  </si>
  <si>
    <t>gpm</t>
  </si>
  <si>
    <t>flows</t>
  </si>
  <si>
    <t>cooling</t>
  </si>
  <si>
    <t>Chill</t>
  </si>
  <si>
    <t>Hot</t>
  </si>
  <si>
    <t>C</t>
  </si>
  <si>
    <t>tei</t>
  </si>
  <si>
    <t>Prorate</t>
  </si>
  <si>
    <t>tgo_min</t>
  </si>
  <si>
    <t>te_out</t>
  </si>
  <si>
    <t>thwin</t>
  </si>
  <si>
    <t>thwo1</t>
  </si>
  <si>
    <t>thwo2</t>
  </si>
  <si>
    <t>tcwin</t>
  </si>
  <si>
    <t>tchwin</t>
  </si>
  <si>
    <t>tchwo</t>
  </si>
  <si>
    <t>fqe</t>
  </si>
  <si>
    <t>fqg</t>
  </si>
  <si>
    <t>fvh</t>
  </si>
  <si>
    <t>fmin</t>
  </si>
  <si>
    <t>qe2</t>
  </si>
  <si>
    <t>qg2</t>
  </si>
  <si>
    <t>qcw</t>
  </si>
  <si>
    <t>vh</t>
  </si>
  <si>
    <t>vchw</t>
  </si>
  <si>
    <t>vcw</t>
  </si>
  <si>
    <t>qg1</t>
  </si>
  <si>
    <t>COP</t>
  </si>
  <si>
    <t>Fcap</t>
  </si>
  <si>
    <t>correct for tgo_min</t>
  </si>
  <si>
    <t>ENERGY CONCEPTS COMPANY</t>
  </si>
  <si>
    <t>(410) 266-6521</t>
  </si>
  <si>
    <t>Summary- This tool helps estimate Ammonia Absorption Refrigeration Unit (AARU) performance from basic data of interfacing utilities.</t>
  </si>
  <si>
    <t>Basic layout of the system is shown in the figure.</t>
  </si>
  <si>
    <t>Chill Water Supply Temperature</t>
  </si>
  <si>
    <t>Cooling Water Supply Temperature</t>
  </si>
  <si>
    <t>Based on process chilling requirements</t>
  </si>
  <si>
    <t>Based on site wet bulb temperature</t>
  </si>
  <si>
    <t>Minimum Hot Water Return Temperature</t>
  </si>
  <si>
    <t>Hot Water Supply Temperature</t>
  </si>
  <si>
    <t>Atleast 15-20F hotter than minimum hot water return temperature</t>
  </si>
  <si>
    <t>TChWS</t>
  </si>
  <si>
    <t>TCWS</t>
  </si>
  <si>
    <t>THWS</t>
  </si>
  <si>
    <t>Else increase TChWS or decrease TCWS</t>
  </si>
  <si>
    <t>GPMHW</t>
  </si>
  <si>
    <t>Hot Water Flowrate</t>
  </si>
  <si>
    <t>Hint-higher the better</t>
  </si>
  <si>
    <t>Hint-lower the better</t>
  </si>
  <si>
    <t>Capacity Factor</t>
  </si>
  <si>
    <t xml:space="preserve">Close to or greater than 0.8 indicates potentially good application </t>
  </si>
  <si>
    <t>Other factors such as annual utilization and utility rates will impact economics</t>
  </si>
  <si>
    <t>Else increase TChWS, THWS and/or decrease TCWS</t>
  </si>
  <si>
    <t>AARU Maximum Chilling Capacity</t>
  </si>
  <si>
    <t>MBTUH</t>
  </si>
  <si>
    <t>RT</t>
  </si>
  <si>
    <t>TChWR</t>
  </si>
  <si>
    <t>Chill Water Return Temperature</t>
  </si>
  <si>
    <t>GPMChW</t>
  </si>
  <si>
    <t>Chill Water Flowrate</t>
  </si>
  <si>
    <t>TCWR</t>
  </si>
  <si>
    <t>Cooling Water Return Temperature</t>
  </si>
  <si>
    <t>GPMCW</t>
  </si>
  <si>
    <t>Cooling Water Flowrate</t>
  </si>
  <si>
    <t>Suggested values-variations possible</t>
  </si>
  <si>
    <t>QChW</t>
  </si>
  <si>
    <t>QHW</t>
  </si>
  <si>
    <t>AARU Efficiency</t>
  </si>
  <si>
    <t>THWR</t>
  </si>
  <si>
    <t>Hot Water Return Temperature</t>
  </si>
  <si>
    <t>Capacity</t>
  </si>
  <si>
    <t>AARU Heat Input-Hot Water</t>
  </si>
  <si>
    <t>QCW</t>
  </si>
  <si>
    <t>AARU Heat Rejection -Cooling Water</t>
  </si>
  <si>
    <t>User Input Parameters Are Highlighted in Red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</si>
</sst>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E+00"/>
    <numFmt numFmtId="168" formatCode="0E+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165" fontId="0" fillId="34" borderId="12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2"/>
    </xf>
    <xf numFmtId="0" fontId="2" fillId="0" borderId="0" xfId="0" applyFont="1" applyAlignment="1">
      <alignment horizontal="left" indent="12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21</xdr:row>
      <xdr:rowOff>66675</xdr:rowOff>
    </xdr:from>
    <xdr:to>
      <xdr:col>21</xdr:col>
      <xdr:colOff>523875</xdr:colOff>
      <xdr:row>45</xdr:row>
      <xdr:rowOff>19050</xdr:rowOff>
    </xdr:to>
    <xdr:sp>
      <xdr:nvSpPr>
        <xdr:cNvPr id="1" name="Rectangle 85"/>
        <xdr:cNvSpPr>
          <a:spLocks/>
        </xdr:cNvSpPr>
      </xdr:nvSpPr>
      <xdr:spPr>
        <a:xfrm>
          <a:off x="5543550" y="3467100"/>
          <a:ext cx="9744075" cy="3838575"/>
        </a:xfrm>
        <a:prstGeom prst="rect">
          <a:avLst/>
        </a:prstGeom>
        <a:solidFill>
          <a:srgbClr val="953735">
            <a:alpha val="19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0</xdr:rowOff>
    </xdr:from>
    <xdr:to>
      <xdr:col>9</xdr:col>
      <xdr:colOff>323850</xdr:colOff>
      <xdr:row>40</xdr:row>
      <xdr:rowOff>76200</xdr:rowOff>
    </xdr:to>
    <xdr:grpSp>
      <xdr:nvGrpSpPr>
        <xdr:cNvPr id="2" name="Group 8"/>
        <xdr:cNvGrpSpPr>
          <a:grpSpLocks/>
        </xdr:cNvGrpSpPr>
      </xdr:nvGrpSpPr>
      <xdr:grpSpPr>
        <a:xfrm>
          <a:off x="219075" y="2752725"/>
          <a:ext cx="5133975" cy="3800475"/>
          <a:chOff x="219075" y="2752726"/>
          <a:chExt cx="5133975" cy="3800474"/>
        </a:xfrm>
        <a:solidFill>
          <a:srgbClr val="FFFFFF"/>
        </a:solidFill>
      </xdr:grpSpPr>
      <xdr:grpSp>
        <xdr:nvGrpSpPr>
          <xdr:cNvPr id="3" name="Group 2"/>
          <xdr:cNvGrpSpPr>
            <a:grpSpLocks/>
          </xdr:cNvGrpSpPr>
        </xdr:nvGrpSpPr>
        <xdr:grpSpPr>
          <a:xfrm>
            <a:off x="3787188" y="5048212"/>
            <a:ext cx="391466" cy="196675"/>
            <a:chOff x="3786772" y="5048250"/>
            <a:chExt cx="391098" cy="196689"/>
          </a:xfrm>
          <a:solidFill>
            <a:srgbClr val="FFFFFF"/>
          </a:solidFill>
        </xdr:grpSpPr>
        <xdr:grpSp>
          <xdr:nvGrpSpPr>
            <xdr:cNvPr id="4" name="Group 79"/>
            <xdr:cNvGrpSpPr>
              <a:grpSpLocks/>
            </xdr:cNvGrpSpPr>
          </xdr:nvGrpSpPr>
          <xdr:grpSpPr>
            <a:xfrm>
              <a:off x="3786772" y="5048250"/>
              <a:ext cx="118503" cy="196689"/>
              <a:chOff x="5708822" y="1359243"/>
              <a:chExt cx="172995" cy="135925"/>
            </a:xfrm>
            <a:solidFill>
              <a:srgbClr val="FFFFFF"/>
            </a:solidFill>
          </xdr:grpSpPr>
          <xdr:sp>
            <xdr:nvSpPr>
              <xdr:cNvPr id="5" name="Straight Connector 83"/>
              <xdr:cNvSpPr>
                <a:spLocks/>
              </xdr:cNvSpPr>
            </xdr:nvSpPr>
            <xdr:spPr>
              <a:xfrm>
                <a:off x="5714920" y="1359243"/>
                <a:ext cx="194706" cy="13823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Straight Connector 84"/>
              <xdr:cNvSpPr>
                <a:spLocks/>
              </xdr:cNvSpPr>
            </xdr:nvSpPr>
            <xdr:spPr>
              <a:xfrm flipH="1">
                <a:off x="5909626" y="1359243"/>
                <a:ext cx="83427" cy="13823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" name="Group 80"/>
            <xdr:cNvGrpSpPr>
              <a:grpSpLocks/>
            </xdr:cNvGrpSpPr>
          </xdr:nvGrpSpPr>
          <xdr:grpSpPr>
            <a:xfrm>
              <a:off x="3982321" y="5063493"/>
              <a:ext cx="195549" cy="181446"/>
              <a:chOff x="5708822" y="1359243"/>
              <a:chExt cx="172995" cy="135925"/>
            </a:xfrm>
            <a:solidFill>
              <a:srgbClr val="FFFFFF"/>
            </a:solidFill>
          </xdr:grpSpPr>
          <xdr:sp>
            <xdr:nvSpPr>
              <xdr:cNvPr id="8" name="Straight Connector 81"/>
              <xdr:cNvSpPr>
                <a:spLocks/>
              </xdr:cNvSpPr>
            </xdr:nvSpPr>
            <xdr:spPr>
              <a:xfrm>
                <a:off x="5708822" y="1362097"/>
                <a:ext cx="84249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Straight Connector 82"/>
              <xdr:cNvSpPr>
                <a:spLocks/>
              </xdr:cNvSpPr>
            </xdr:nvSpPr>
            <xdr:spPr>
              <a:xfrm flipH="1">
                <a:off x="5800726" y="1362097"/>
                <a:ext cx="84249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0" name="Group 22"/>
          <xdr:cNvGrpSpPr>
            <a:grpSpLocks/>
          </xdr:cNvGrpSpPr>
        </xdr:nvGrpSpPr>
        <xdr:grpSpPr>
          <a:xfrm>
            <a:off x="2225176" y="5037761"/>
            <a:ext cx="404301" cy="181473"/>
            <a:chOff x="5708823" y="1359243"/>
            <a:chExt cx="345988" cy="135925"/>
          </a:xfrm>
          <a:solidFill>
            <a:srgbClr val="FFFFFF"/>
          </a:solidFill>
        </xdr:grpSpPr>
        <xdr:grpSp>
          <xdr:nvGrpSpPr>
            <xdr:cNvPr id="11" name="Group 73"/>
            <xdr:cNvGrpSpPr>
              <a:grpSpLocks/>
            </xdr:cNvGrpSpPr>
          </xdr:nvGrpSpPr>
          <xdr:grpSpPr>
            <a:xfrm>
              <a:off x="5708823" y="1359243"/>
              <a:ext cx="172994" cy="135925"/>
              <a:chOff x="5708823" y="1359243"/>
              <a:chExt cx="172994" cy="135925"/>
            </a:xfrm>
            <a:solidFill>
              <a:srgbClr val="FFFFFF"/>
            </a:solidFill>
          </xdr:grpSpPr>
          <xdr:sp>
            <xdr:nvSpPr>
              <xdr:cNvPr id="12" name="Straight Connector 77"/>
              <xdr:cNvSpPr>
                <a:spLocks/>
              </xdr:cNvSpPr>
            </xdr:nvSpPr>
            <xdr:spPr>
              <a:xfrm>
                <a:off x="5712326" y="1359753"/>
                <a:ext cx="89784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Straight Connector 78"/>
              <xdr:cNvSpPr>
                <a:spLocks/>
              </xdr:cNvSpPr>
            </xdr:nvSpPr>
            <xdr:spPr>
              <a:xfrm flipH="1">
                <a:off x="5802110" y="1359753"/>
                <a:ext cx="81610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4" name="Group 74"/>
            <xdr:cNvGrpSpPr>
              <a:grpSpLocks/>
            </xdr:cNvGrpSpPr>
          </xdr:nvGrpSpPr>
          <xdr:grpSpPr>
            <a:xfrm>
              <a:off x="5881817" y="1359243"/>
              <a:ext cx="172994" cy="135925"/>
              <a:chOff x="5708822" y="1359243"/>
              <a:chExt cx="172995" cy="135925"/>
            </a:xfrm>
            <a:solidFill>
              <a:srgbClr val="FFFFFF"/>
            </a:solidFill>
          </xdr:grpSpPr>
          <xdr:sp>
            <xdr:nvSpPr>
              <xdr:cNvPr id="15" name="Straight Connector 75"/>
              <xdr:cNvSpPr>
                <a:spLocks/>
              </xdr:cNvSpPr>
            </xdr:nvSpPr>
            <xdr:spPr>
              <a:xfrm>
                <a:off x="5710725" y="1359753"/>
                <a:ext cx="81610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Straight Connector 76"/>
              <xdr:cNvSpPr>
                <a:spLocks/>
              </xdr:cNvSpPr>
            </xdr:nvSpPr>
            <xdr:spPr>
              <a:xfrm flipH="1">
                <a:off x="5800509" y="1359753"/>
                <a:ext cx="81610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7" name="Group 5"/>
          <xdr:cNvGrpSpPr>
            <a:grpSpLocks/>
          </xdr:cNvGrpSpPr>
        </xdr:nvGrpSpPr>
        <xdr:grpSpPr>
          <a:xfrm>
            <a:off x="2806598" y="5905219"/>
            <a:ext cx="781648" cy="181473"/>
            <a:chOff x="2806041" y="5905500"/>
            <a:chExt cx="782196" cy="181799"/>
          </a:xfrm>
          <a:solidFill>
            <a:srgbClr val="FFFFFF"/>
          </a:solidFill>
        </xdr:grpSpPr>
        <xdr:grpSp>
          <xdr:nvGrpSpPr>
            <xdr:cNvPr id="18" name="Group 67"/>
            <xdr:cNvGrpSpPr>
              <a:grpSpLocks/>
            </xdr:cNvGrpSpPr>
          </xdr:nvGrpSpPr>
          <xdr:grpSpPr>
            <a:xfrm>
              <a:off x="2806041" y="5905500"/>
              <a:ext cx="108530" cy="181799"/>
              <a:chOff x="5708822" y="1359243"/>
              <a:chExt cx="172995" cy="135925"/>
            </a:xfrm>
            <a:solidFill>
              <a:srgbClr val="FFFFFF"/>
            </a:solidFill>
          </xdr:grpSpPr>
          <xdr:sp>
            <xdr:nvSpPr>
              <xdr:cNvPr id="19" name="Straight Connector 71"/>
              <xdr:cNvSpPr>
                <a:spLocks/>
              </xdr:cNvSpPr>
            </xdr:nvSpPr>
            <xdr:spPr>
              <a:xfrm>
                <a:off x="5714920" y="1359243"/>
                <a:ext cx="197214" cy="1353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Straight Connector 72"/>
              <xdr:cNvSpPr>
                <a:spLocks/>
              </xdr:cNvSpPr>
            </xdr:nvSpPr>
            <xdr:spPr>
              <a:xfrm flipH="1">
                <a:off x="5912178" y="1359243"/>
                <a:ext cx="75858" cy="1353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1" name="Group 68"/>
            <xdr:cNvGrpSpPr>
              <a:grpSpLocks/>
            </xdr:cNvGrpSpPr>
          </xdr:nvGrpSpPr>
          <xdr:grpSpPr>
            <a:xfrm>
              <a:off x="3001590" y="5905864"/>
              <a:ext cx="195549" cy="181435"/>
              <a:chOff x="5708822" y="1359243"/>
              <a:chExt cx="172995" cy="135925"/>
            </a:xfrm>
            <a:solidFill>
              <a:srgbClr val="FFFFFF"/>
            </a:solidFill>
          </xdr:grpSpPr>
          <xdr:sp>
            <xdr:nvSpPr>
              <xdr:cNvPr id="22" name="Straight Connector 69"/>
              <xdr:cNvSpPr>
                <a:spLocks/>
              </xdr:cNvSpPr>
            </xdr:nvSpPr>
            <xdr:spPr>
              <a:xfrm>
                <a:off x="5716174" y="1359006"/>
                <a:ext cx="84249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Straight Connector 70"/>
              <xdr:cNvSpPr>
                <a:spLocks/>
              </xdr:cNvSpPr>
            </xdr:nvSpPr>
            <xdr:spPr>
              <a:xfrm flipH="1">
                <a:off x="5808856" y="1359006"/>
                <a:ext cx="75858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" name="Group 61"/>
            <xdr:cNvGrpSpPr>
              <a:grpSpLocks/>
            </xdr:cNvGrpSpPr>
          </xdr:nvGrpSpPr>
          <xdr:grpSpPr>
            <a:xfrm>
              <a:off x="3197139" y="5905500"/>
              <a:ext cx="107943" cy="181799"/>
              <a:chOff x="5708822" y="1359243"/>
              <a:chExt cx="172995" cy="135925"/>
            </a:xfrm>
            <a:solidFill>
              <a:srgbClr val="FFFFFF"/>
            </a:solidFill>
          </xdr:grpSpPr>
          <xdr:sp>
            <xdr:nvSpPr>
              <xdr:cNvPr id="25" name="Straight Connector 65"/>
              <xdr:cNvSpPr>
                <a:spLocks/>
              </xdr:cNvSpPr>
            </xdr:nvSpPr>
            <xdr:spPr>
              <a:xfrm>
                <a:off x="5714055" y="1359243"/>
                <a:ext cx="198296" cy="1353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Straight Connector 66"/>
              <xdr:cNvSpPr>
                <a:spLocks/>
              </xdr:cNvSpPr>
            </xdr:nvSpPr>
            <xdr:spPr>
              <a:xfrm flipH="1">
                <a:off x="5912307" y="1359243"/>
                <a:ext cx="76248" cy="1353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7" name="Group 62"/>
            <xdr:cNvGrpSpPr>
              <a:grpSpLocks/>
            </xdr:cNvGrpSpPr>
          </xdr:nvGrpSpPr>
          <xdr:grpSpPr>
            <a:xfrm>
              <a:off x="3392688" y="5905864"/>
              <a:ext cx="195549" cy="181435"/>
              <a:chOff x="5708822" y="1359243"/>
              <a:chExt cx="172995" cy="135925"/>
            </a:xfrm>
            <a:solidFill>
              <a:srgbClr val="FFFFFF"/>
            </a:solidFill>
          </xdr:grpSpPr>
          <xdr:sp>
            <xdr:nvSpPr>
              <xdr:cNvPr id="28" name="Straight Connector 63"/>
              <xdr:cNvSpPr>
                <a:spLocks/>
              </xdr:cNvSpPr>
            </xdr:nvSpPr>
            <xdr:spPr>
              <a:xfrm>
                <a:off x="5708822" y="1359006"/>
                <a:ext cx="84249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Straight Connector 64"/>
              <xdr:cNvSpPr>
                <a:spLocks/>
              </xdr:cNvSpPr>
            </xdr:nvSpPr>
            <xdr:spPr>
              <a:xfrm flipH="1">
                <a:off x="5799947" y="1359006"/>
                <a:ext cx="84249" cy="1355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0" name="Group 7"/>
          <xdr:cNvGrpSpPr>
            <a:grpSpLocks/>
          </xdr:cNvGrpSpPr>
        </xdr:nvGrpSpPr>
        <xdr:grpSpPr>
          <a:xfrm>
            <a:off x="219075" y="2752726"/>
            <a:ext cx="5133975" cy="3800474"/>
            <a:chOff x="219075" y="2752726"/>
            <a:chExt cx="5133975" cy="3800474"/>
          </a:xfrm>
          <a:solidFill>
            <a:srgbClr val="FFFFFF"/>
          </a:solidFill>
        </xdr:grpSpPr>
        <xdr:sp>
          <xdr:nvSpPr>
            <xdr:cNvPr id="31" name="Rectangle 20"/>
            <xdr:cNvSpPr>
              <a:spLocks/>
            </xdr:cNvSpPr>
          </xdr:nvSpPr>
          <xdr:spPr>
            <a:xfrm>
              <a:off x="2086558" y="4819234"/>
              <a:ext cx="2229429" cy="1590498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Straight Connector 24"/>
            <xdr:cNvSpPr>
              <a:spLocks/>
            </xdr:cNvSpPr>
          </xdr:nvSpPr>
          <xdr:spPr>
            <a:xfrm flipV="1">
              <a:off x="3791038" y="4153201"/>
              <a:ext cx="0" cy="9235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Straight Connector 25"/>
            <xdr:cNvSpPr>
              <a:spLocks/>
            </xdr:cNvSpPr>
          </xdr:nvSpPr>
          <xdr:spPr>
            <a:xfrm flipV="1">
              <a:off x="4181220" y="4486692"/>
              <a:ext cx="0" cy="58147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Straight Connector 26"/>
            <xdr:cNvSpPr>
              <a:spLocks/>
            </xdr:cNvSpPr>
          </xdr:nvSpPr>
          <xdr:spPr>
            <a:xfrm flipV="1">
              <a:off x="2619208" y="3819709"/>
              <a:ext cx="0" cy="121900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Straight Connector 27"/>
            <xdr:cNvSpPr>
              <a:spLocks/>
            </xdr:cNvSpPr>
          </xdr:nvSpPr>
          <xdr:spPr>
            <a:xfrm flipV="1">
              <a:off x="2229026" y="4162702"/>
              <a:ext cx="0" cy="8950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Straight Connector 28"/>
            <xdr:cNvSpPr>
              <a:spLocks/>
            </xdr:cNvSpPr>
          </xdr:nvSpPr>
          <xdr:spPr>
            <a:xfrm flipV="1">
              <a:off x="2810449" y="3114721"/>
              <a:ext cx="0" cy="278099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Straight Connector 29"/>
            <xdr:cNvSpPr>
              <a:spLocks/>
            </xdr:cNvSpPr>
          </xdr:nvSpPr>
          <xdr:spPr>
            <a:xfrm flipV="1">
              <a:off x="3590813" y="2800232"/>
              <a:ext cx="0" cy="31049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Straight Connector 30"/>
            <xdr:cNvSpPr>
              <a:spLocks/>
            </xdr:cNvSpPr>
          </xdr:nvSpPr>
          <xdr:spPr>
            <a:xfrm>
              <a:off x="4172236" y="4477191"/>
              <a:ext cx="77138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Straight Connector 31"/>
            <xdr:cNvSpPr>
              <a:spLocks/>
            </xdr:cNvSpPr>
          </xdr:nvSpPr>
          <xdr:spPr>
            <a:xfrm>
              <a:off x="3782054" y="4153201"/>
              <a:ext cx="114359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Straight Connector 32"/>
            <xdr:cNvSpPr>
              <a:spLocks/>
            </xdr:cNvSpPr>
          </xdr:nvSpPr>
          <xdr:spPr>
            <a:xfrm>
              <a:off x="266564" y="3819709"/>
              <a:ext cx="23526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Straight Connector 33"/>
            <xdr:cNvSpPr>
              <a:spLocks/>
            </xdr:cNvSpPr>
          </xdr:nvSpPr>
          <xdr:spPr>
            <a:xfrm>
              <a:off x="285817" y="4162702"/>
              <a:ext cx="19432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Oval 45"/>
            <xdr:cNvSpPr>
              <a:spLocks/>
            </xdr:cNvSpPr>
          </xdr:nvSpPr>
          <xdr:spPr>
            <a:xfrm>
              <a:off x="2810449" y="3038712"/>
              <a:ext cx="142468" cy="161520"/>
            </a:xfrm>
            <a:prstGeom prst="ellips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Straight Connector 47"/>
            <xdr:cNvSpPr>
              <a:spLocks/>
            </xdr:cNvSpPr>
          </xdr:nvSpPr>
          <xdr:spPr>
            <a:xfrm>
              <a:off x="2886175" y="2752726"/>
              <a:ext cx="0" cy="3714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TextBox 99"/>
            <xdr:cNvSpPr txBox="1">
              <a:spLocks noChangeArrowheads="1"/>
            </xdr:cNvSpPr>
          </xdr:nvSpPr>
          <xdr:spPr>
            <a:xfrm>
              <a:off x="276832" y="4200707"/>
              <a:ext cx="1295045" cy="2384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Chill water return</a:t>
              </a:r>
            </a:p>
          </xdr:txBody>
        </xdr:sp>
        <xdr:sp>
          <xdr:nvSpPr>
            <xdr:cNvPr id="45" name="TextBox 100"/>
            <xdr:cNvSpPr txBox="1">
              <a:spLocks noChangeArrowheads="1"/>
            </xdr:cNvSpPr>
          </xdr:nvSpPr>
          <xdr:spPr>
            <a:xfrm>
              <a:off x="219075" y="3543225"/>
              <a:ext cx="1486286" cy="2384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Chill water supply</a:t>
              </a:r>
            </a:p>
          </xdr:txBody>
        </xdr:sp>
        <xdr:sp>
          <xdr:nvSpPr>
            <xdr:cNvPr id="46" name="TextBox 101"/>
            <xdr:cNvSpPr txBox="1">
              <a:spLocks noChangeArrowheads="1"/>
            </xdr:cNvSpPr>
          </xdr:nvSpPr>
          <xdr:spPr>
            <a:xfrm>
              <a:off x="2752692" y="3362702"/>
              <a:ext cx="809885" cy="4000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Process water supply</a:t>
              </a:r>
            </a:p>
          </xdr:txBody>
        </xdr:sp>
        <xdr:sp>
          <xdr:nvSpPr>
            <xdr:cNvPr id="47" name="TextBox 102"/>
            <xdr:cNvSpPr txBox="1">
              <a:spLocks noChangeArrowheads="1"/>
            </xdr:cNvSpPr>
          </xdr:nvSpPr>
          <xdr:spPr>
            <a:xfrm>
              <a:off x="3743549" y="2933249"/>
              <a:ext cx="904863" cy="3714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Process water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Return</a:t>
              </a:r>
            </a:p>
          </xdr:txBody>
        </xdr:sp>
        <xdr:sp>
          <xdr:nvSpPr>
            <xdr:cNvPr id="48" name="TextBox 103"/>
            <xdr:cNvSpPr txBox="1">
              <a:spLocks noChangeArrowheads="1"/>
            </xdr:cNvSpPr>
          </xdr:nvSpPr>
          <xdr:spPr>
            <a:xfrm>
              <a:off x="3991263" y="3933723"/>
              <a:ext cx="1361787" cy="2384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Hot water supply </a:t>
              </a:r>
            </a:p>
          </xdr:txBody>
        </xdr:sp>
        <xdr:sp>
          <xdr:nvSpPr>
            <xdr:cNvPr id="49" name="TextBox 104"/>
            <xdr:cNvSpPr txBox="1">
              <a:spLocks noChangeArrowheads="1"/>
            </xdr:cNvSpPr>
          </xdr:nvSpPr>
          <xdr:spPr>
            <a:xfrm>
              <a:off x="4514929" y="4467690"/>
              <a:ext cx="799617" cy="3714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Hot water return</a:t>
              </a:r>
            </a:p>
          </xdr:txBody>
        </xdr:sp>
        <xdr:sp>
          <xdr:nvSpPr>
            <xdr:cNvPr id="50" name="TextBox 105"/>
            <xdr:cNvSpPr txBox="1">
              <a:spLocks noChangeArrowheads="1"/>
            </xdr:cNvSpPr>
          </xdr:nvSpPr>
          <xdr:spPr>
            <a:xfrm>
              <a:off x="2076290" y="6181704"/>
              <a:ext cx="1361787" cy="3714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AARU</a:t>
              </a:r>
            </a:p>
          </xdr:txBody>
        </xdr:sp>
        <xdr:sp>
          <xdr:nvSpPr>
            <xdr:cNvPr id="51" name="TextBox 106"/>
            <xdr:cNvSpPr txBox="1">
              <a:spLocks noChangeArrowheads="1"/>
            </xdr:cNvSpPr>
          </xdr:nvSpPr>
          <xdr:spPr>
            <a:xfrm>
              <a:off x="2104527" y="5171728"/>
              <a:ext cx="1361787" cy="2859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EVAP</a:t>
              </a:r>
            </a:p>
          </xdr:txBody>
        </xdr:sp>
        <xdr:sp>
          <xdr:nvSpPr>
            <xdr:cNvPr id="52" name="TextBox 107"/>
            <xdr:cNvSpPr txBox="1">
              <a:spLocks noChangeArrowheads="1"/>
            </xdr:cNvSpPr>
          </xdr:nvSpPr>
          <xdr:spPr>
            <a:xfrm>
              <a:off x="2942649" y="5486217"/>
              <a:ext cx="752127" cy="4475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COND / ABS</a:t>
              </a:r>
            </a:p>
          </xdr:txBody>
        </xdr:sp>
        <xdr:sp>
          <xdr:nvSpPr>
            <xdr:cNvPr id="53" name="TextBox 108"/>
            <xdr:cNvSpPr txBox="1">
              <a:spLocks noChangeArrowheads="1"/>
            </xdr:cNvSpPr>
          </xdr:nvSpPr>
          <xdr:spPr>
            <a:xfrm>
              <a:off x="3762801" y="5219234"/>
              <a:ext cx="657149" cy="27648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GEN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4"/>
  <sheetViews>
    <sheetView tabSelected="1" zoomScalePageLayoutView="0" workbookViewId="0" topLeftCell="B6">
      <selection activeCell="L6" sqref="L6"/>
    </sheetView>
  </sheetViews>
  <sheetFormatPr defaultColWidth="9.140625" defaultRowHeight="12.75"/>
  <cols>
    <col min="1" max="1" width="2.28125" style="0" customWidth="1"/>
    <col min="12" max="12" width="45.421875" style="0" customWidth="1"/>
  </cols>
  <sheetData>
    <row r="2" spans="2:7" ht="12.75">
      <c r="B2" s="32" t="s">
        <v>54</v>
      </c>
      <c r="C2" s="33"/>
      <c r="D2" s="33"/>
      <c r="E2" s="33"/>
      <c r="G2" s="26">
        <v>44028</v>
      </c>
    </row>
    <row r="3" spans="2:11" ht="12.75">
      <c r="B3" s="32" t="s">
        <v>55</v>
      </c>
      <c r="C3" s="33"/>
      <c r="D3" s="33"/>
      <c r="E3" s="33"/>
      <c r="K3" s="2" t="s">
        <v>56</v>
      </c>
    </row>
    <row r="4" ht="12.75">
      <c r="L4" s="2" t="s">
        <v>57</v>
      </c>
    </row>
    <row r="6" ht="12.75">
      <c r="L6" s="28" t="s">
        <v>98</v>
      </c>
    </row>
    <row r="8" spans="11:15" ht="12.75">
      <c r="K8" s="2" t="s">
        <v>65</v>
      </c>
      <c r="L8" s="2" t="s">
        <v>58</v>
      </c>
      <c r="M8" s="31">
        <v>45</v>
      </c>
      <c r="N8" s="2" t="s">
        <v>1</v>
      </c>
      <c r="O8" s="2" t="s">
        <v>60</v>
      </c>
    </row>
    <row r="9" ht="12.75">
      <c r="O9" s="27" t="s">
        <v>71</v>
      </c>
    </row>
    <row r="11" spans="11:15" ht="12.75">
      <c r="K11" s="2" t="s">
        <v>66</v>
      </c>
      <c r="L11" s="2" t="s">
        <v>59</v>
      </c>
      <c r="M11" s="31">
        <v>60</v>
      </c>
      <c r="N11" s="2" t="s">
        <v>1</v>
      </c>
      <c r="O11" s="2" t="s">
        <v>61</v>
      </c>
    </row>
    <row r="12" spans="15:19" ht="12.75">
      <c r="O12" s="27" t="s">
        <v>72</v>
      </c>
      <c r="S12" s="2"/>
    </row>
    <row r="14" spans="12:14" ht="12.75">
      <c r="L14" s="2" t="s">
        <v>62</v>
      </c>
      <c r="M14" s="18">
        <f>Characterization!D25</f>
        <v>182.07500000000002</v>
      </c>
      <c r="N14" s="2" t="s">
        <v>1</v>
      </c>
    </row>
    <row r="16" spans="11:15" ht="12.75">
      <c r="K16" s="2" t="s">
        <v>67</v>
      </c>
      <c r="L16" s="2" t="s">
        <v>63</v>
      </c>
      <c r="M16" s="31">
        <v>250</v>
      </c>
      <c r="N16" s="2" t="s">
        <v>1</v>
      </c>
      <c r="O16" s="2" t="s">
        <v>64</v>
      </c>
    </row>
    <row r="17" ht="12.75">
      <c r="O17" s="2" t="s">
        <v>68</v>
      </c>
    </row>
    <row r="19" spans="11:14" ht="12.75">
      <c r="K19" s="2" t="s">
        <v>69</v>
      </c>
      <c r="L19" s="2" t="s">
        <v>70</v>
      </c>
      <c r="M19" s="31">
        <v>40</v>
      </c>
      <c r="N19" s="2" t="s">
        <v>24</v>
      </c>
    </row>
    <row r="21" spans="8:9" ht="12.75">
      <c r="H21" s="18">
        <f>M40</f>
        <v>134.4948347466875</v>
      </c>
      <c r="I21" s="2" t="s">
        <v>1</v>
      </c>
    </row>
    <row r="22" spans="8:9" ht="12.75">
      <c r="H22" s="18">
        <f>M42</f>
        <v>23.1</v>
      </c>
      <c r="I22" s="2" t="s">
        <v>24</v>
      </c>
    </row>
    <row r="23" spans="3:15" ht="12.75">
      <c r="C23" s="30">
        <f>M8</f>
        <v>45</v>
      </c>
      <c r="D23" s="2" t="s">
        <v>1</v>
      </c>
      <c r="L23" s="2" t="s">
        <v>73</v>
      </c>
      <c r="M23" s="19">
        <f>Characterization!Z14</f>
        <v>1.0629250829326415</v>
      </c>
      <c r="O23" s="2" t="s">
        <v>74</v>
      </c>
    </row>
    <row r="24" spans="6:15" ht="12.75">
      <c r="F24" s="30">
        <f>M11</f>
        <v>60</v>
      </c>
      <c r="G24" s="2" t="s">
        <v>1</v>
      </c>
      <c r="O24" s="2" t="s">
        <v>76</v>
      </c>
    </row>
    <row r="25" ht="12.75">
      <c r="O25" s="2" t="s">
        <v>75</v>
      </c>
    </row>
    <row r="27" spans="8:14" ht="12.75">
      <c r="H27" s="30">
        <f>M16</f>
        <v>250</v>
      </c>
      <c r="I27" s="2" t="s">
        <v>1</v>
      </c>
      <c r="K27" s="2" t="s">
        <v>89</v>
      </c>
      <c r="L27" s="2" t="s">
        <v>77</v>
      </c>
      <c r="M27" s="18">
        <f>Characterization!O30</f>
        <v>318.5874054439869</v>
      </c>
      <c r="N27" s="2" t="s">
        <v>78</v>
      </c>
    </row>
    <row r="28" spans="2:14" ht="12.75">
      <c r="B28" s="29">
        <f>M36</f>
        <v>56.672246066954074</v>
      </c>
      <c r="C28" s="2" t="s">
        <v>1</v>
      </c>
      <c r="M28" s="18">
        <f>Characterization!R30</f>
        <v>26.548950453665572</v>
      </c>
      <c r="N28" s="2" t="s">
        <v>79</v>
      </c>
    </row>
    <row r="29" spans="2:3" ht="12.75">
      <c r="B29" s="18">
        <f>M38</f>
        <v>54.5</v>
      </c>
      <c r="C29" s="2" t="s">
        <v>24</v>
      </c>
    </row>
    <row r="30" spans="11:14" ht="12.75">
      <c r="K30" s="2" t="s">
        <v>90</v>
      </c>
      <c r="L30" s="2" t="s">
        <v>95</v>
      </c>
      <c r="M30" s="18">
        <f>Characterization!H30</f>
        <v>531.5839429956915</v>
      </c>
      <c r="N30" s="2" t="s">
        <v>78</v>
      </c>
    </row>
    <row r="31" spans="9:10" ht="12.75">
      <c r="I31" s="18">
        <f>M34</f>
        <v>222.17727612642193</v>
      </c>
      <c r="J31" s="2" t="s">
        <v>1</v>
      </c>
    </row>
    <row r="32" spans="9:13" ht="12.75">
      <c r="I32" s="30">
        <f>M19</f>
        <v>40</v>
      </c>
      <c r="J32" s="2" t="s">
        <v>24</v>
      </c>
      <c r="K32" s="2" t="s">
        <v>51</v>
      </c>
      <c r="L32" s="2" t="s">
        <v>91</v>
      </c>
      <c r="M32" s="19">
        <f>Characterization!Q13</f>
        <v>0.5993172097121997</v>
      </c>
    </row>
    <row r="33" spans="9:10" ht="12.75">
      <c r="I33" s="18">
        <f>M30</f>
        <v>531.5839429956915</v>
      </c>
      <c r="J33" s="2" t="s">
        <v>78</v>
      </c>
    </row>
    <row r="34" spans="11:14" ht="12.75">
      <c r="K34" s="2" t="s">
        <v>92</v>
      </c>
      <c r="L34" s="2" t="s">
        <v>93</v>
      </c>
      <c r="M34" s="29">
        <f>Characterization!D30</f>
        <v>222.17727612642193</v>
      </c>
      <c r="N34" s="2" t="s">
        <v>1</v>
      </c>
    </row>
    <row r="36" spans="11:15" ht="12.75">
      <c r="K36" s="2" t="s">
        <v>80</v>
      </c>
      <c r="L36" s="2" t="s">
        <v>81</v>
      </c>
      <c r="M36" s="29">
        <f>Characterization!F19</f>
        <v>56.672246066954074</v>
      </c>
      <c r="N36" s="2" t="s">
        <v>1</v>
      </c>
      <c r="O36" s="2" t="s">
        <v>88</v>
      </c>
    </row>
    <row r="38" spans="11:15" ht="12.75">
      <c r="K38" s="2" t="s">
        <v>82</v>
      </c>
      <c r="L38" s="2" t="s">
        <v>83</v>
      </c>
      <c r="M38" s="18">
        <f>Characterization!T30</f>
        <v>54.5</v>
      </c>
      <c r="N38" s="2" t="s">
        <v>24</v>
      </c>
      <c r="O38" s="2" t="s">
        <v>88</v>
      </c>
    </row>
    <row r="40" spans="11:15" ht="12.75">
      <c r="K40" s="2" t="s">
        <v>84</v>
      </c>
      <c r="L40" s="2" t="s">
        <v>85</v>
      </c>
      <c r="M40" s="29">
        <f>Characterization!E19</f>
        <v>134.4948347466875</v>
      </c>
      <c r="N40" s="2" t="s">
        <v>1</v>
      </c>
      <c r="O40" s="2" t="s">
        <v>88</v>
      </c>
    </row>
    <row r="41" spans="5:7" ht="12.75">
      <c r="E41" s="2" t="s">
        <v>94</v>
      </c>
      <c r="F41" s="18">
        <f>M27</f>
        <v>318.5874054439869</v>
      </c>
      <c r="G41" s="2" t="s">
        <v>78</v>
      </c>
    </row>
    <row r="42" spans="6:15" ht="12.75">
      <c r="F42" s="18">
        <f>M28</f>
        <v>26.548950453665572</v>
      </c>
      <c r="G42" s="2" t="s">
        <v>79</v>
      </c>
      <c r="K42" s="2" t="s">
        <v>86</v>
      </c>
      <c r="L42" s="2" t="s">
        <v>87</v>
      </c>
      <c r="M42" s="18">
        <f>Characterization!S30</f>
        <v>23.1</v>
      </c>
      <c r="N42" s="2" t="s">
        <v>24</v>
      </c>
      <c r="O42" s="2" t="s">
        <v>88</v>
      </c>
    </row>
    <row r="44" spans="11:14" ht="12.75">
      <c r="K44" s="2" t="s">
        <v>96</v>
      </c>
      <c r="L44" s="2" t="s">
        <v>97</v>
      </c>
      <c r="M44" s="18">
        <f>Project!M30+Project!M27</f>
        <v>850.1713484396784</v>
      </c>
      <c r="N44" s="2" t="s">
        <v>78</v>
      </c>
    </row>
  </sheetData>
  <sheetProtection password="C7C1" sheet="1" selectLockedCells="1"/>
  <mergeCells count="2"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Z39"/>
  <sheetViews>
    <sheetView zoomScalePageLayoutView="0" workbookViewId="0" topLeftCell="A1">
      <selection activeCell="L9" sqref="L9"/>
    </sheetView>
  </sheetViews>
  <sheetFormatPr defaultColWidth="9.140625" defaultRowHeight="12.75"/>
  <sheetData>
    <row r="3" spans="5:15" ht="12.75">
      <c r="E3" s="1" t="s">
        <v>5</v>
      </c>
      <c r="F3" s="1" t="s">
        <v>6</v>
      </c>
      <c r="G3" s="1" t="s">
        <v>7</v>
      </c>
      <c r="H3" s="1" t="s">
        <v>8</v>
      </c>
      <c r="K3" s="2" t="s">
        <v>17</v>
      </c>
      <c r="L3" s="1" t="s">
        <v>9</v>
      </c>
      <c r="M3" s="1" t="s">
        <v>10</v>
      </c>
      <c r="N3" s="1" t="s">
        <v>11</v>
      </c>
      <c r="O3" s="1" t="s">
        <v>12</v>
      </c>
    </row>
    <row r="4" spans="5:15" ht="12.75">
      <c r="E4" s="3">
        <v>2.5741583345148795</v>
      </c>
      <c r="F4" s="3">
        <v>0.9688834290012471</v>
      </c>
      <c r="G4" s="4">
        <v>0.9141643358381796</v>
      </c>
      <c r="H4" s="3">
        <v>28.60105394834943</v>
      </c>
      <c r="K4">
        <v>0</v>
      </c>
      <c r="L4" s="3">
        <v>3.6603729660548203</v>
      </c>
      <c r="M4" s="3">
        <v>2.302657905783671</v>
      </c>
      <c r="N4" s="5">
        <v>0.37904312641645815</v>
      </c>
      <c r="O4" s="3">
        <v>42.58724038032844</v>
      </c>
    </row>
    <row r="5" spans="4:26" ht="12.75">
      <c r="D5" s="2"/>
      <c r="E5" s="3"/>
      <c r="F5" s="3"/>
      <c r="G5" s="4"/>
      <c r="H5" s="3"/>
      <c r="L5" s="3"/>
      <c r="M5" s="3"/>
      <c r="N5" s="5"/>
      <c r="O5" s="3"/>
      <c r="Y5" s="2" t="s">
        <v>34</v>
      </c>
      <c r="Z5" s="19">
        <f>D13</f>
        <v>250</v>
      </c>
    </row>
    <row r="6" spans="19:26" ht="12.75">
      <c r="S6" s="2" t="s">
        <v>25</v>
      </c>
      <c r="Y6" s="2" t="s">
        <v>35</v>
      </c>
      <c r="Z6" s="19"/>
    </row>
    <row r="7" spans="4:26" ht="12.75">
      <c r="D7" s="24">
        <f>Project!M16</f>
        <v>250</v>
      </c>
      <c r="E7" s="24">
        <f>Project!M11</f>
        <v>60</v>
      </c>
      <c r="F7" s="24">
        <f>Project!M8</f>
        <v>45</v>
      </c>
      <c r="S7" s="2" t="s">
        <v>26</v>
      </c>
      <c r="T7" s="2" t="s">
        <v>27</v>
      </c>
      <c r="U7" s="2" t="s">
        <v>28</v>
      </c>
      <c r="Y7" s="2" t="s">
        <v>36</v>
      </c>
      <c r="Z7" s="18">
        <f>D18</f>
        <v>105.65404229245662</v>
      </c>
    </row>
    <row r="8" spans="11:26" ht="13.5" thickBot="1">
      <c r="K8" s="2"/>
      <c r="L8" s="2"/>
      <c r="M8" s="2"/>
      <c r="N8" s="2"/>
      <c r="O8" s="2"/>
      <c r="Q8" s="2" t="s">
        <v>18</v>
      </c>
      <c r="R8" s="2" t="s">
        <v>19</v>
      </c>
      <c r="S8" s="2" t="s">
        <v>24</v>
      </c>
      <c r="T8" s="2" t="s">
        <v>24</v>
      </c>
      <c r="U8" s="2" t="s">
        <v>24</v>
      </c>
      <c r="Y8" s="2" t="s">
        <v>37</v>
      </c>
      <c r="Z8" s="19">
        <f>E13</f>
        <v>60</v>
      </c>
    </row>
    <row r="9" spans="4:26" ht="12.75">
      <c r="D9" s="6" t="s">
        <v>0</v>
      </c>
      <c r="E9" s="6" t="s">
        <v>2</v>
      </c>
      <c r="F9" s="6" t="s">
        <v>33</v>
      </c>
      <c r="G9" s="6" t="s">
        <v>14</v>
      </c>
      <c r="H9" s="6" t="s">
        <v>13</v>
      </c>
      <c r="K9" s="6" t="s">
        <v>0</v>
      </c>
      <c r="L9" s="6" t="s">
        <v>2</v>
      </c>
      <c r="M9" s="6" t="s">
        <v>3</v>
      </c>
      <c r="N9" s="6" t="s">
        <v>15</v>
      </c>
      <c r="O9" s="6" t="s">
        <v>16</v>
      </c>
      <c r="Y9" s="2" t="s">
        <v>21</v>
      </c>
      <c r="Z9" s="19">
        <f>E18</f>
        <v>56.94157485927083</v>
      </c>
    </row>
    <row r="10" spans="4:26" ht="13.5" thickBot="1">
      <c r="D10" s="7" t="s">
        <v>29</v>
      </c>
      <c r="E10" s="7" t="s">
        <v>29</v>
      </c>
      <c r="F10" s="7" t="s">
        <v>29</v>
      </c>
      <c r="G10" s="7" t="s">
        <v>29</v>
      </c>
      <c r="H10" s="7" t="s">
        <v>4</v>
      </c>
      <c r="K10" s="7" t="s">
        <v>29</v>
      </c>
      <c r="L10" s="7" t="s">
        <v>29</v>
      </c>
      <c r="M10" s="7" t="s">
        <v>29</v>
      </c>
      <c r="N10" s="7" t="s">
        <v>29</v>
      </c>
      <c r="O10" s="8" t="s">
        <v>4</v>
      </c>
      <c r="Y10" s="2" t="s">
        <v>38</v>
      </c>
      <c r="Z10" s="19">
        <f>F18</f>
        <v>13.706803370530041</v>
      </c>
    </row>
    <row r="11" spans="4:26" ht="12.75">
      <c r="D11" s="9"/>
      <c r="E11" s="9"/>
      <c r="F11" s="9"/>
      <c r="G11" s="9"/>
      <c r="H11" s="9"/>
      <c r="K11" s="10"/>
      <c r="L11" s="10"/>
      <c r="M11" s="10"/>
      <c r="N11" s="10"/>
      <c r="O11" s="10"/>
      <c r="Y11" s="2" t="s">
        <v>39</v>
      </c>
      <c r="Z11" s="19">
        <f>F13</f>
        <v>45</v>
      </c>
    </row>
    <row r="12" spans="4:15" ht="12.75">
      <c r="D12" s="8"/>
      <c r="E12" s="8"/>
      <c r="F12" s="8"/>
      <c r="G12" s="8"/>
      <c r="H12" s="8"/>
      <c r="K12" s="8"/>
      <c r="L12" s="8"/>
      <c r="M12" s="8"/>
      <c r="N12" s="8"/>
      <c r="O12" s="8"/>
    </row>
    <row r="13" spans="4:26" ht="12.75">
      <c r="D13" s="11">
        <f>D7</f>
        <v>250</v>
      </c>
      <c r="E13" s="11">
        <f>E7</f>
        <v>60</v>
      </c>
      <c r="F13" s="11">
        <f>F7</f>
        <v>45</v>
      </c>
      <c r="G13" s="12">
        <f>D13-$E$4*E13+$F$4*F13</f>
        <v>139.15025423416336</v>
      </c>
      <c r="H13" s="13">
        <f>$G$4*G13+$H$4</f>
        <v>155.8072536920372</v>
      </c>
      <c r="K13" s="8">
        <f>D13</f>
        <v>250</v>
      </c>
      <c r="L13" s="8">
        <f>E13</f>
        <v>60</v>
      </c>
      <c r="M13" s="8">
        <f>F13</f>
        <v>45</v>
      </c>
      <c r="N13" s="12">
        <f>K13-$L$4*L13+$M$4*M13+$K$4</f>
        <v>133.997227796976</v>
      </c>
      <c r="O13" s="14">
        <f>$N$4*N13+$O$4</f>
        <v>93.37796853563256</v>
      </c>
      <c r="Q13" s="15">
        <f>O13/H13</f>
        <v>0.5993172097121997</v>
      </c>
      <c r="R13" s="16">
        <f>O13/3.514</f>
        <v>26.57312707331604</v>
      </c>
      <c r="S13">
        <v>23.1</v>
      </c>
      <c r="T13">
        <v>54.5</v>
      </c>
      <c r="U13">
        <v>40</v>
      </c>
      <c r="Y13" s="2" t="s">
        <v>32</v>
      </c>
      <c r="Z13" s="18">
        <f>D24</f>
        <v>83.375</v>
      </c>
    </row>
    <row r="14" spans="25:26" ht="12.75">
      <c r="Y14" s="2" t="s">
        <v>52</v>
      </c>
      <c r="Z14" s="19">
        <f>O13/87.85</f>
        <v>1.0629250829326415</v>
      </c>
    </row>
    <row r="16" spans="4:26" ht="12.75">
      <c r="D16" s="2" t="s">
        <v>20</v>
      </c>
      <c r="E16" s="2" t="s">
        <v>21</v>
      </c>
      <c r="F16" s="2" t="s">
        <v>30</v>
      </c>
      <c r="H16" s="2" t="s">
        <v>23</v>
      </c>
      <c r="O16" s="2" t="s">
        <v>22</v>
      </c>
      <c r="Y16" s="2" t="s">
        <v>40</v>
      </c>
      <c r="Z16" s="19">
        <f>R20/R13</f>
        <v>0.9990901853747297</v>
      </c>
    </row>
    <row r="17" spans="19:26" ht="12.75">
      <c r="S17" s="2" t="s">
        <v>31</v>
      </c>
      <c r="Y17" s="2" t="s">
        <v>41</v>
      </c>
      <c r="Z17" s="19"/>
    </row>
    <row r="18" spans="2:26" ht="12.75">
      <c r="B18" s="2"/>
      <c r="C18" s="2" t="s">
        <v>29</v>
      </c>
      <c r="D18" s="17">
        <f>((D13-H13/5.6)-32)/1.8</f>
        <v>105.65404229245662</v>
      </c>
      <c r="E18" s="17">
        <f>((E13+(H13+O13)/3.345)-32)/1.8</f>
        <v>56.94157485927083</v>
      </c>
      <c r="F18" s="17">
        <f>((F13+O13/8)-32)/1.8</f>
        <v>13.706803370530041</v>
      </c>
      <c r="H18" s="18">
        <f>H13*1000/293.1</f>
        <v>531.5839429956915</v>
      </c>
      <c r="O18" s="18">
        <f>O13*1000/293.1</f>
        <v>318.5874054439869</v>
      </c>
      <c r="Y18" s="2" t="s">
        <v>42</v>
      </c>
      <c r="Z18" s="19"/>
    </row>
    <row r="19" spans="3:26" ht="12.75">
      <c r="C19" s="2" t="s">
        <v>1</v>
      </c>
      <c r="D19" s="3">
        <f>D18*1.8+32</f>
        <v>222.17727612642193</v>
      </c>
      <c r="E19" s="3">
        <f>E18*1.8+32</f>
        <v>134.4948347466875</v>
      </c>
      <c r="F19" s="3">
        <f>F18*1.8+32</f>
        <v>56.672246066954074</v>
      </c>
      <c r="H19" s="18"/>
      <c r="O19" s="18"/>
      <c r="Y19" s="2" t="s">
        <v>43</v>
      </c>
      <c r="Z19" s="19">
        <f>MIN(Z17,Z18,Z16)</f>
        <v>0.9990901853747297</v>
      </c>
    </row>
    <row r="20" spans="8:21" ht="12.75">
      <c r="H20" s="18">
        <f>H18*U20/U13</f>
        <v>531.5839429956915</v>
      </c>
      <c r="O20" s="18">
        <f>O18*U20/U13</f>
        <v>318.5874054439869</v>
      </c>
      <c r="R20" s="18">
        <f>O20/12</f>
        <v>26.548950453665572</v>
      </c>
      <c r="S20" s="18">
        <f>S13*$U$20/$U$13</f>
        <v>23.1</v>
      </c>
      <c r="T20" s="18">
        <f>T13*$U$20/$U$13</f>
        <v>54.5</v>
      </c>
      <c r="U20" s="25">
        <f>Project!M19</f>
        <v>40</v>
      </c>
    </row>
    <row r="21" spans="25:26" ht="12.75">
      <c r="Y21" s="2" t="s">
        <v>50</v>
      </c>
      <c r="Z21" s="18"/>
    </row>
    <row r="22" spans="4:26" ht="12.75">
      <c r="D22" s="2" t="s">
        <v>32</v>
      </c>
      <c r="Y22" s="2" t="s">
        <v>44</v>
      </c>
      <c r="Z22" s="18">
        <f>Z19*O13</f>
        <v>93.29301189418081</v>
      </c>
    </row>
    <row r="23" spans="25:26" ht="12.75">
      <c r="Y23" s="2" t="s">
        <v>45</v>
      </c>
      <c r="Z23" s="18">
        <f>Z19*H13</f>
        <v>155.665497973905</v>
      </c>
    </row>
    <row r="24" spans="3:26" ht="12.75">
      <c r="C24" s="2" t="s">
        <v>29</v>
      </c>
      <c r="D24" s="17">
        <f>1.264*E13-0.937*F13+49.7</f>
        <v>83.375</v>
      </c>
      <c r="Y24" s="2" t="s">
        <v>46</v>
      </c>
      <c r="Z24" s="18">
        <f>Z22+Z23</f>
        <v>248.9585098680858</v>
      </c>
    </row>
    <row r="25" spans="3:26" ht="12.75">
      <c r="C25" s="2" t="s">
        <v>1</v>
      </c>
      <c r="D25" s="3">
        <f>D24*1.8+32</f>
        <v>182.07500000000002</v>
      </c>
      <c r="Y25" s="2" t="s">
        <v>51</v>
      </c>
      <c r="Z25" s="15">
        <f>Z22/Z23</f>
        <v>0.5993172097121997</v>
      </c>
    </row>
    <row r="26" spans="3:26" ht="12.75">
      <c r="C26" s="2"/>
      <c r="D26" s="3"/>
      <c r="Y26" s="2"/>
      <c r="Z26" s="15"/>
    </row>
    <row r="27" spans="3:26" ht="12.75">
      <c r="C27" s="2"/>
      <c r="D27" s="2" t="s">
        <v>20</v>
      </c>
      <c r="Y27" s="2"/>
      <c r="Z27" s="15"/>
    </row>
    <row r="28" ht="12.75">
      <c r="D28" s="19">
        <f>MIN(D19,D25)</f>
        <v>182.07500000000002</v>
      </c>
    </row>
    <row r="29" spans="25:26" ht="12.75">
      <c r="Y29" s="2" t="s">
        <v>47</v>
      </c>
      <c r="Z29" s="19">
        <f>Z19*7.44</f>
        <v>7.433230979187989</v>
      </c>
    </row>
    <row r="30" spans="4:26" ht="12.75">
      <c r="D30" s="19">
        <f>MAX(D19,D28)</f>
        <v>222.17727612642193</v>
      </c>
      <c r="H30" s="18">
        <f>H20*($D$7-$D$30)/($D$7-$D$19)</f>
        <v>531.5839429956915</v>
      </c>
      <c r="O30" s="18">
        <f>O20*($D$7-$D$30)/($D$7-$D$19)</f>
        <v>318.5874054439869</v>
      </c>
      <c r="P30" s="2" t="s">
        <v>53</v>
      </c>
      <c r="R30" s="18">
        <f>R20*(D7-D30)/(D7-D19)</f>
        <v>26.548950453665572</v>
      </c>
      <c r="S30" s="18">
        <f>S20*($D$7-$D$30)/($D$7-$D$19)</f>
        <v>23.1</v>
      </c>
      <c r="T30" s="18">
        <f>T20*($D$7-$D$30)/($D$7-$D$19)</f>
        <v>54.5</v>
      </c>
      <c r="U30" s="18"/>
      <c r="Y30" s="2" t="s">
        <v>48</v>
      </c>
      <c r="Z30" s="19">
        <f>Z19*20.2</f>
        <v>20.18162174456954</v>
      </c>
    </row>
    <row r="31" spans="25:26" ht="12.75">
      <c r="Y31" s="2" t="s">
        <v>49</v>
      </c>
      <c r="Z31" s="19">
        <f>Z19*36</f>
        <v>35.96724667349027</v>
      </c>
    </row>
    <row r="34" ht="15.75">
      <c r="F34" s="20"/>
    </row>
    <row r="35" ht="15">
      <c r="F35" s="21"/>
    </row>
    <row r="36" spans="6:7" ht="15">
      <c r="F36" s="22"/>
      <c r="G36" s="22"/>
    </row>
    <row r="37" spans="6:7" ht="15">
      <c r="F37" s="22"/>
      <c r="G37" s="23"/>
    </row>
    <row r="38" spans="6:7" ht="15">
      <c r="F38" s="22"/>
      <c r="G38" s="23"/>
    </row>
    <row r="39" ht="15">
      <c r="F39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Anand</dc:creator>
  <cp:keywords/>
  <dc:description/>
  <cp:lastModifiedBy>Riaz Hussein</cp:lastModifiedBy>
  <dcterms:created xsi:type="dcterms:W3CDTF">2008-11-25T19:21:30Z</dcterms:created>
  <dcterms:modified xsi:type="dcterms:W3CDTF">2020-07-16T19:25:59Z</dcterms:modified>
  <cp:category/>
  <cp:version/>
  <cp:contentType/>
  <cp:contentStatus/>
</cp:coreProperties>
</file>